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ez-moi" sheetId="1" state="visible" r:id="rId3"/>
    <sheet name="Barèmes" sheetId="2" state="visible" r:id="rId4"/>
    <sheet name="Micro-BIC vs Réel" sheetId="3" state="visible" r:id="rId5"/>
    <sheet name="Amortissement" sheetId="4" state="visible" r:id="rId6"/>
    <sheet name="Rentabilité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<sst xmlns="http://schemas.openxmlformats.org/spreadsheetml/2006/main" count="112" uniqueCount="84">
  <si>
    <t xml:space="preserve">LMNP Guide — Simulateur LMNP (Excel)</t>
  </si>
  <si>
    <t xml:space="preserve">Ce classeur reprend trois simulateurs interactifs de lmnpguide.com, pour un usage hors ligne ou personnalisable à vos propres hypothèses.</t>
  </si>
  <si>
    <t xml:space="preserve">Onglets de ce classeur :</t>
  </si>
  <si>
    <t xml:space="preserve">•  Barèmes — les taux et seuils utilisés dans les calculs (sources officielles, datées). Ne pas modifier.</t>
  </si>
  <si>
    <t xml:space="preserve">•  Micro-BIC vs Réel — impôt sur le revenu et prélèvements sociaux dans les deux régimes, sur vos chiffres.</t>
  </si>
  <si>
    <t xml:space="preserve">•  Amortissement — échéancier annuel par composant (bâti, mobilier, travaux) jusqu'à extinction.</t>
  </si>
  <si>
    <t xml:space="preserve">•  Rentabilité — rentabilité brute, nette de charges et nette d'impôt sur votre investissement total.</t>
  </si>
  <si>
    <t xml:space="preserve">Comment l'utiliser :</t>
  </si>
  <si>
    <t xml:space="preserve">Remplissez uniquement les cellules sur fond beige clair (cellules à saisir) — toutes les autres se recalculent automatiquement.</t>
  </si>
  <si>
    <t xml:space="preserve">Légende des couleurs :</t>
  </si>
  <si>
    <t xml:space="preserve">  Cellule à saisir</t>
  </si>
  <si>
    <t xml:space="preserve">  Résultat calculé automatiquement — ne pas modifier</t>
  </si>
  <si>
    <t xml:space="preserve">  Verdict / chiffre-clé</t>
  </si>
  <si>
    <t xml:space="preserve">Barèmes millésime : 2026 (revenus 2025) — vérifié le 13/07/2026.</t>
  </si>
  <si>
    <t xml:space="preserve">Ces informations sont générales et ne constituent pas un conseil fiscal personnalisé. En cas de situation limite ou atypique, vérifiez avec un comptable ou votre service des impôts.</t>
  </si>
  <si>
    <t xml:space="preserve">Sources détaillées dans l'onglet Barèmes et sur lmnpguide.com/methodologie-sources/</t>
  </si>
  <si>
    <t xml:space="preserve">lmnpguide.com — Christian R.</t>
  </si>
  <si>
    <t xml:space="preserve">Barèmes utilisés dans ce classeur</t>
  </si>
  <si>
    <t xml:space="preserve">Ne pas modifier cette feuille — mise à jour uniquement lors des révisions annuelles du barème.</t>
  </si>
  <si>
    <t xml:space="preserve">Type de location</t>
  </si>
  <si>
    <t xml:space="preserve">Seuil micro-BIC 2025 (€)</t>
  </si>
  <si>
    <t xml:space="preserve">Seuil micro-BIC 2026 (€)</t>
  </si>
  <si>
    <t xml:space="preserve">Abattement micro-BIC</t>
  </si>
  <si>
    <t xml:space="preserve">Longue durée (résidence principale)</t>
  </si>
  <si>
    <t xml:space="preserve">Meublé de tourisme classé</t>
  </si>
  <si>
    <t xml:space="preserve">Meublé de tourisme non classé</t>
  </si>
  <si>
    <t xml:space="preserve">Prélèvements sociaux (location meublée)</t>
  </si>
  <si>
    <t xml:space="preserve">Durée amortissement bâti par défaut (années)</t>
  </si>
  <si>
    <t xml:space="preserve">Durée amortissement mobilier (années)</t>
  </si>
  <si>
    <t xml:space="preserve">Durée amortissement travaux (années)</t>
  </si>
  <si>
    <t xml:space="preserve">Forfait frais d'acquisition (convention pratique, notaire ancien)</t>
  </si>
  <si>
    <t xml:space="preserve">Sources (vérifiées à la date indiquée) :</t>
  </si>
  <si>
    <t xml:space="preserve">•  service-public.gouv.fr, fiche F32744 (régimes de la location meublée, seuils micro-BIC) — vérifié le 15/04/2026</t>
  </si>
  <si>
    <t xml:space="preserve">•  service-public.gouv.fr, fiche F2329 (prélèvements sociaux) — vérifié le 30/06/2026, hausse CSG LFSS 2026 art. 12</t>
  </si>
  <si>
    <t xml:space="preserve">•  service-public.gouv.fr, fiche F10864 (plus-value immobilière, forfait frais d'acquisition) — vérifié le 15/04/2026</t>
  </si>
  <si>
    <t xml:space="preserve">•  Durées d'amortissement : usages indicatifs, plafonnement art. 39 C CGI (BOI-BIC-AMT-20-40-10-20/-30)</t>
  </si>
  <si>
    <t xml:space="preserve">Micro-BIC vs régime réel</t>
  </si>
  <si>
    <t xml:space="preserve">Loyers annuels charges comprises (€)</t>
  </si>
  <si>
    <t xml:space="preserve">Année de perception des loyers</t>
  </si>
  <si>
    <t xml:space="preserve">Charges réelles annuelles (€)</t>
  </si>
  <si>
    <t xml:space="preserve">Tranche marginale d'imposition (TMI)</t>
  </si>
  <si>
    <t xml:space="preserve">Prix du bien hors frais (€)</t>
  </si>
  <si>
    <t xml:space="preserve">Part du terrain (%) — non amortissable</t>
  </si>
  <si>
    <t xml:space="preserve">Mobilier (€)</t>
  </si>
  <si>
    <t xml:space="preserve">Travaux amortissables (€)</t>
  </si>
  <si>
    <t xml:space="preserve">Seuil micro-BIC applicable (€)</t>
  </si>
  <si>
    <t xml:space="preserve">Base micro-BIC (€)</t>
  </si>
  <si>
    <t xml:space="preserve">Éligible au micro-BIC ?</t>
  </si>
  <si>
    <t xml:space="preserve">Impôt + PS micro-BIC (€/an)</t>
  </si>
  <si>
    <t xml:space="preserve">Avant amortissement (€)</t>
  </si>
  <si>
    <t xml:space="preserve">Amortissement bâti annuel (€)</t>
  </si>
  <si>
    <t xml:space="preserve">Amortissement mobilier annuel (€)</t>
  </si>
  <si>
    <t xml:space="preserve">Amortissement travaux annuel (€)</t>
  </si>
  <si>
    <t xml:space="preserve">Amortissement total annuel (€)</t>
  </si>
  <si>
    <t xml:space="preserve">Amortissement déduit (plafonné, art. 39 C) (€)</t>
  </si>
  <si>
    <t xml:space="preserve">Amortissement reporté, non déduit (€)</t>
  </si>
  <si>
    <t xml:space="preserve">Base imposable régime réel (€)</t>
  </si>
  <si>
    <t xml:space="preserve">Impôt + PS régime réel (€/an)</t>
  </si>
  <si>
    <t xml:space="preserve">Régime le plus avantageux</t>
  </si>
  <si>
    <t xml:space="preserve">Économie annuelle en optant pour le régime réel (€)</t>
  </si>
  <si>
    <t xml:space="preserve">Résultat indicatif, pas un conseil fiscal personnalisé. Voir lmnpguide.com/outils/simulateur-lmnp/</t>
  </si>
  <si>
    <t xml:space="preserve">Échéancier d'amortissement</t>
  </si>
  <si>
    <t xml:space="preserve">Durée d'amortissement du bâti (années)</t>
  </si>
  <si>
    <t xml:space="preserve">Année</t>
  </si>
  <si>
    <t xml:space="preserve">Amort. bâti (€)</t>
  </si>
  <si>
    <t xml:space="preserve">Amort. mobilier (€)</t>
  </si>
  <si>
    <t xml:space="preserve">Amort. travaux (€)</t>
  </si>
  <si>
    <t xml:space="preserve">Total annuel (€)</t>
  </si>
  <si>
    <t xml:space="preserve">Cumul (€)</t>
  </si>
  <si>
    <t xml:space="preserve">Échéancier théorique, hors plafonnement art. 39 C (voir l'onglet Micro-BIC vs Réel pour le montant réellement déductible chaque année).</t>
  </si>
  <si>
    <t xml:space="preserve">Rentabilité locative meublée</t>
  </si>
  <si>
    <t xml:space="preserve">Prix d'achat hors frais (€)</t>
  </si>
  <si>
    <t xml:space="preserve">Frais d'acquisition : mode</t>
  </si>
  <si>
    <t xml:space="preserve">Forfait 7,5%</t>
  </si>
  <si>
    <t xml:space="preserve">Frais d'acquisition réels (€) — si mode 'Montant réel'</t>
  </si>
  <si>
    <t xml:space="preserve">Loyer annuel charges comprises (€)</t>
  </si>
  <si>
    <t xml:space="preserve">Frais d'acquisition retenus (€)</t>
  </si>
  <si>
    <t xml:space="preserve">Investissement total (€)</t>
  </si>
  <si>
    <t xml:space="preserve">Amortissement déduit, plafonné (€)</t>
  </si>
  <si>
    <t xml:space="preserve">Meilleur impôt + PS retenu (€/an)</t>
  </si>
  <si>
    <t xml:space="preserve">Rentabilité brute</t>
  </si>
  <si>
    <t xml:space="preserve">Rentabilité nette de charges</t>
  </si>
  <si>
    <t xml:space="preserve">Rentabilité nette d'impôt (régime le plus avantageux)</t>
  </si>
  <si>
    <t xml:space="preserve">Rendement sur une seule année, hors évolution du loyer, vacance locative et fiscalité de la revente. Voir lmnpguide.com/outils/rentabilite-locative/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</si>
</sst>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"/>
    <numFmt numFmtId="166" formatCode="0.0%"/>
    <numFmt numFmtId="167" formatCode="0.0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color rgb="FF3A3630"/>
      <name val="Arial"/>
      <family val="0"/>
      <charset val="1"/>
    </font>
    <font>
      <b val="true"/>
      <sz val="10"/>
      <color rgb="FF3A363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8"/>
      <color rgb="FF3A3630"/>
      <name val="Arial"/>
      <family val="0"/>
      <charset val="1"/>
    </font>
    <font>
      <i val="true"/>
      <sz val="9"/>
      <color rgb="FFB3261E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E3D7B"/>
        <bgColor rgb="FF003366"/>
      </patternFill>
    </fill>
    <fill>
      <patternFill patternType="solid">
        <fgColor rgb="FFFAF3E3"/>
        <bgColor rgb="FFFFFFFF"/>
      </patternFill>
    </fill>
    <fill>
      <patternFill patternType="solid">
        <fgColor rgb="FF1F7A4D"/>
        <bgColor rgb="FF008080"/>
      </patternFill>
    </fill>
    <fill>
      <patternFill patternType="solid">
        <fgColor rgb="FFB3261E"/>
        <bgColor rgb="FF993366"/>
      </patternFill>
    </fill>
    <fill>
      <patternFill patternType="solid">
        <fgColor rgb="FFDCE6F1"/>
        <bgColor rgb="FFFAF3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7A4D"/>
      <rgbColor rgb="FFCCCCCC"/>
      <rgbColor rgb="FF808080"/>
      <rgbColor rgb="FF9999FF"/>
      <rgbColor rgb="FF993366"/>
      <rgbColor rgb="FFFAF3E3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3261E"/>
      <rgbColor rgb="FF993366"/>
      <rgbColor rgb="FF1E3D7B"/>
      <rgbColor rgb="FF3A36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95"/>
  </cols>
  <sheetData>
    <row r="1" customFormat="false" ht="25.5" hidden="false" customHeight="true" outlineLevel="0" collapsed="false">
      <c r="A1" s="2" t="s">
        <v>0</v>
      </c>
    </row>
    <row r="3" customFormat="false" ht="23.25" hidden="false" customHeight="true" outlineLevel="0" collapsed="false">
      <c r="A3" s="3" t="s">
        <v>1</v>
      </c>
    </row>
    <row r="5" customFormat="false" ht="15" hidden="false" customHeight="true" outlineLevel="0" collapsed="false">
      <c r="A5" s="4" t="s">
        <v>2</v>
      </c>
    </row>
    <row r="6" customFormat="false" ht="27.75" hidden="false" customHeight="true" outlineLevel="0" collapsed="false">
      <c r="A6" s="3" t="s">
        <v>3</v>
      </c>
    </row>
    <row r="7" customFormat="false" ht="27.75" hidden="false" customHeight="true" outlineLevel="0" collapsed="false">
      <c r="A7" s="3" t="s">
        <v>4</v>
      </c>
    </row>
    <row r="8" customFormat="false" ht="27.75" hidden="false" customHeight="true" outlineLevel="0" collapsed="false">
      <c r="A8" s="3" t="s">
        <v>5</v>
      </c>
    </row>
    <row r="9" customFormat="false" ht="27.75" hidden="false" customHeight="true" outlineLevel="0" collapsed="false">
      <c r="A9" s="3" t="s">
        <v>6</v>
      </c>
    </row>
    <row r="11" customFormat="false" ht="15" hidden="false" customHeight="true" outlineLevel="0" collapsed="false">
      <c r="A11" s="4" t="s">
        <v>7</v>
      </c>
    </row>
    <row r="12" customFormat="false" ht="27.75" hidden="false" customHeight="true" outlineLevel="0" collapsed="false">
      <c r="A12" s="3" t="s">
        <v>8</v>
      </c>
    </row>
    <row r="13" customFormat="false" ht="15" hidden="false" customHeight="true" outlineLevel="0" collapsed="false">
      <c r="A13" s="4" t="s">
        <v>9</v>
      </c>
    </row>
    <row r="14" customFormat="false" ht="15" hidden="false" customHeight="true" outlineLevel="0" collapsed="false">
      <c r="A14" s="5" t="s">
        <v>10</v>
      </c>
    </row>
    <row r="15" customFormat="false" ht="15" hidden="false" customHeight="true" outlineLevel="0" collapsed="false">
      <c r="A15" s="6" t="s">
        <v>11</v>
      </c>
    </row>
    <row r="16" customFormat="false" ht="15" hidden="false" customHeight="true" outlineLevel="0" collapsed="false">
      <c r="A16" s="7" t="s">
        <v>12</v>
      </c>
    </row>
    <row r="18" customFormat="false" ht="15" hidden="false" customHeight="true" outlineLevel="0" collapsed="false">
      <c r="A18" s="6" t="s">
        <v>13</v>
      </c>
    </row>
    <row r="20" customFormat="false" ht="31.5" hidden="false" customHeight="true" outlineLevel="0" collapsed="false">
      <c r="A20" s="8" t="s">
        <v>14</v>
      </c>
    </row>
    <row r="22" customFormat="false" ht="15" hidden="false" customHeight="true" outlineLevel="0" collapsed="false">
      <c r="A22" s="6" t="s">
        <v>15</v>
      </c>
    </row>
    <row r="24" customFormat="false" ht="15" hidden="false" customHeight="true" outlineLevel="0" collapsed="false">
      <c r="A24" s="9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3" min="2" style="1" width="16"/>
    <col collapsed="false" customWidth="true" hidden="false" outlineLevel="0" max="4" min="4" style="1" width="14"/>
    <col collapsed="false" customWidth="true" hidden="false" outlineLevel="0" max="5" min="5" style="1" width="50"/>
  </cols>
  <sheetData>
    <row r="1" customFormat="false" ht="21.75" hidden="false" customHeight="true" outlineLevel="0" collapsed="false">
      <c r="A1" s="2" t="s">
        <v>17</v>
      </c>
    </row>
    <row r="2" customFormat="false" ht="15" hidden="false" customHeight="true" outlineLevel="0" collapsed="false">
      <c r="A2" s="10" t="s">
        <v>18</v>
      </c>
    </row>
    <row r="4" customFormat="false" ht="15" hidden="false" customHeight="true" outlineLevel="0" collapsed="false">
      <c r="A4" s="11" t="s">
        <v>19</v>
      </c>
      <c r="B4" s="11" t="s">
        <v>20</v>
      </c>
      <c r="C4" s="11" t="s">
        <v>21</v>
      </c>
      <c r="D4" s="11" t="s">
        <v>22</v>
      </c>
    </row>
    <row r="5" customFormat="false" ht="15" hidden="false" customHeight="true" outlineLevel="0" collapsed="false">
      <c r="A5" s="12" t="s">
        <v>23</v>
      </c>
      <c r="B5" s="13" t="n">
        <v>77700</v>
      </c>
      <c r="C5" s="13" t="n">
        <v>83600</v>
      </c>
      <c r="D5" s="14" t="n">
        <v>0.5</v>
      </c>
    </row>
    <row r="6" customFormat="false" ht="15" hidden="false" customHeight="true" outlineLevel="0" collapsed="false">
      <c r="A6" s="12" t="s">
        <v>24</v>
      </c>
      <c r="B6" s="13" t="n">
        <v>77700</v>
      </c>
      <c r="C6" s="13" t="n">
        <v>83600</v>
      </c>
      <c r="D6" s="14" t="n">
        <v>0.5</v>
      </c>
    </row>
    <row r="7" customFormat="false" ht="15" hidden="false" customHeight="true" outlineLevel="0" collapsed="false">
      <c r="A7" s="12" t="s">
        <v>25</v>
      </c>
      <c r="B7" s="13" t="n">
        <v>15000</v>
      </c>
      <c r="C7" s="13" t="n">
        <v>15000</v>
      </c>
      <c r="D7" s="14" t="n">
        <v>0.3</v>
      </c>
    </row>
    <row r="9" customFormat="false" ht="15" hidden="false" customHeight="true" outlineLevel="0" collapsed="false">
      <c r="A9" s="12" t="s">
        <v>26</v>
      </c>
      <c r="B9" s="14" t="n">
        <v>0.186</v>
      </c>
    </row>
    <row r="10" customFormat="false" ht="15" hidden="false" customHeight="true" outlineLevel="0" collapsed="false">
      <c r="A10" s="12" t="s">
        <v>27</v>
      </c>
      <c r="B10" s="12" t="n">
        <v>30</v>
      </c>
    </row>
    <row r="11" customFormat="false" ht="15" hidden="false" customHeight="true" outlineLevel="0" collapsed="false">
      <c r="A11" s="12" t="s">
        <v>28</v>
      </c>
      <c r="B11" s="12" t="n">
        <v>7</v>
      </c>
    </row>
    <row r="12" customFormat="false" ht="15" hidden="false" customHeight="true" outlineLevel="0" collapsed="false">
      <c r="A12" s="12" t="s">
        <v>29</v>
      </c>
      <c r="B12" s="12" t="n">
        <v>15</v>
      </c>
    </row>
    <row r="13" customFormat="false" ht="15" hidden="false" customHeight="true" outlineLevel="0" collapsed="false">
      <c r="A13" s="12" t="s">
        <v>30</v>
      </c>
      <c r="B13" s="14" t="n">
        <v>0.075</v>
      </c>
    </row>
    <row r="15" customFormat="false" ht="15" hidden="false" customHeight="true" outlineLevel="0" collapsed="false">
      <c r="A15" s="15" t="s">
        <v>31</v>
      </c>
    </row>
    <row r="16" customFormat="false" ht="34.5" hidden="false" customHeight="true" outlineLevel="0" collapsed="false">
      <c r="A16" s="16" t="s">
        <v>32</v>
      </c>
    </row>
    <row r="17" customFormat="false" ht="34.5" hidden="false" customHeight="true" outlineLevel="0" collapsed="false">
      <c r="A17" s="16" t="s">
        <v>33</v>
      </c>
    </row>
    <row r="18" customFormat="false" ht="34.5" hidden="false" customHeight="true" outlineLevel="0" collapsed="false">
      <c r="A18" s="16" t="s">
        <v>34</v>
      </c>
    </row>
    <row r="19" customFormat="false" ht="34.5" hidden="false" customHeight="true" outlineLevel="0" collapsed="false">
      <c r="A19" s="16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8"/>
    <col collapsed="false" customWidth="true" hidden="false" outlineLevel="0" max="2" min="2" style="1" width="22"/>
  </cols>
  <sheetData>
    <row r="1" customFormat="false" ht="21.75" hidden="false" customHeight="true" outlineLevel="0" collapsed="false">
      <c r="A1" s="2" t="s">
        <v>36</v>
      </c>
    </row>
    <row r="3" customFormat="false" ht="15" hidden="false" customHeight="true" outlineLevel="0" collapsed="false">
      <c r="A3" s="17" t="s">
        <v>37</v>
      </c>
      <c r="B3" s="18" t="n">
        <v>8400</v>
      </c>
    </row>
    <row r="4" customFormat="false" ht="15" hidden="false" customHeight="true" outlineLevel="0" collapsed="false">
      <c r="A4" s="17" t="s">
        <v>19</v>
      </c>
      <c r="B4" s="5" t="s">
        <v>23</v>
      </c>
    </row>
    <row r="5" customFormat="false" ht="15" hidden="false" customHeight="true" outlineLevel="0" collapsed="false">
      <c r="A5" s="17" t="s">
        <v>38</v>
      </c>
      <c r="B5" s="5" t="n">
        <v>2026</v>
      </c>
    </row>
    <row r="6" customFormat="false" ht="15" hidden="false" customHeight="true" outlineLevel="0" collapsed="false">
      <c r="A6" s="17" t="s">
        <v>39</v>
      </c>
      <c r="B6" s="18" t="n">
        <v>1800</v>
      </c>
    </row>
    <row r="7" customFormat="false" ht="15" hidden="false" customHeight="true" outlineLevel="0" collapsed="false">
      <c r="A7" s="17" t="s">
        <v>40</v>
      </c>
      <c r="B7" s="19" t="n">
        <v>0.3</v>
      </c>
    </row>
    <row r="9" customFormat="false" ht="15" hidden="false" customHeight="true" outlineLevel="0" collapsed="false">
      <c r="A9" s="17" t="s">
        <v>41</v>
      </c>
      <c r="B9" s="18" t="n">
        <v>150000</v>
      </c>
    </row>
    <row r="10" customFormat="false" ht="15" hidden="false" customHeight="true" outlineLevel="0" collapsed="false">
      <c r="A10" s="17" t="s">
        <v>42</v>
      </c>
      <c r="B10" s="19" t="n">
        <v>0.15</v>
      </c>
    </row>
    <row r="11" customFormat="false" ht="15" hidden="false" customHeight="true" outlineLevel="0" collapsed="false">
      <c r="A11" s="17" t="s">
        <v>43</v>
      </c>
      <c r="B11" s="18" t="n">
        <v>6000</v>
      </c>
    </row>
    <row r="12" customFormat="false" ht="15" hidden="false" customHeight="true" outlineLevel="0" collapsed="false">
      <c r="A12" s="17" t="s">
        <v>44</v>
      </c>
      <c r="B12" s="18" t="n">
        <v>0</v>
      </c>
    </row>
    <row r="14" customFormat="false" ht="15" hidden="false" customHeight="true" outlineLevel="0" collapsed="false">
      <c r="A14" s="20" t="s">
        <v>45</v>
      </c>
      <c r="B14" s="13" t="n">
        <f aca="false">IF(B5=2025,INDEX(Barèmes!$B$5:$B$7,MATCH(B4,Barèmes!$A$5:$A$7,0)),INDEX(Barèmes!$C$5:$C$7,MATCH(B4,Barèmes!$A$5:$A$7,0)))</f>
        <v>83600</v>
      </c>
    </row>
    <row r="15" customFormat="false" ht="15" hidden="false" customHeight="true" outlineLevel="0" collapsed="false">
      <c r="A15" s="17" t="s">
        <v>22</v>
      </c>
      <c r="B15" s="14" t="n">
        <f aca="false">INDEX(Barèmes!$D$5:$D$7,MATCH(B4,Barèmes!$A$5:$A$7,0))</f>
        <v>0.5</v>
      </c>
    </row>
    <row r="16" customFormat="false" ht="15" hidden="false" customHeight="true" outlineLevel="0" collapsed="false">
      <c r="A16" s="17" t="s">
        <v>46</v>
      </c>
      <c r="B16" s="13" t="n">
        <f aca="false">B3*(1-B15)</f>
        <v>4200</v>
      </c>
    </row>
    <row r="17" customFormat="false" ht="15" hidden="false" customHeight="true" outlineLevel="0" collapsed="false">
      <c r="A17" s="17" t="s">
        <v>47</v>
      </c>
      <c r="B17" s="12" t="str">
        <f aca="false">IF(B3&lt;=B14,"Oui","Non")</f>
        <v>Oui</v>
      </c>
    </row>
    <row r="18" customFormat="false" ht="15" hidden="false" customHeight="true" outlineLevel="0" collapsed="false">
      <c r="A18" s="20" t="s">
        <v>48</v>
      </c>
      <c r="B18" s="21" t="n">
        <f aca="false">IF(B17="Oui",B16*(B7+Barèmes!$B$9),"Non éligible")</f>
        <v>2041.2</v>
      </c>
    </row>
    <row r="20" customFormat="false" ht="15" hidden="false" customHeight="true" outlineLevel="0" collapsed="false">
      <c r="A20" s="17" t="s">
        <v>49</v>
      </c>
      <c r="B20" s="13" t="n">
        <f aca="false">B3-B6</f>
        <v>6600</v>
      </c>
    </row>
    <row r="21" customFormat="false" ht="15" hidden="false" customHeight="true" outlineLevel="0" collapsed="false">
      <c r="A21" s="17" t="s">
        <v>50</v>
      </c>
      <c r="B21" s="13" t="n">
        <f aca="false">B9*(1-B10)/Barèmes!$B$10</f>
        <v>4250</v>
      </c>
    </row>
    <row r="22" customFormat="false" ht="15" hidden="false" customHeight="true" outlineLevel="0" collapsed="false">
      <c r="A22" s="17" t="s">
        <v>51</v>
      </c>
      <c r="B22" s="13" t="n">
        <f aca="false">IF(B11&gt;0,B11/Barèmes!$B$11,0)</f>
        <v>857.142857142857</v>
      </c>
    </row>
    <row r="23" customFormat="false" ht="15" hidden="false" customHeight="true" outlineLevel="0" collapsed="false">
      <c r="A23" s="17" t="s">
        <v>52</v>
      </c>
      <c r="B23" s="13" t="n">
        <f aca="false">IF(B12&gt;0,B12/Barèmes!$B$12,0)</f>
        <v>0</v>
      </c>
    </row>
    <row r="24" customFormat="false" ht="15" hidden="false" customHeight="true" outlineLevel="0" collapsed="false">
      <c r="A24" s="17" t="s">
        <v>53</v>
      </c>
      <c r="B24" s="13" t="n">
        <f aca="false">B21+B22+B23</f>
        <v>5107.14285714286</v>
      </c>
    </row>
    <row r="25" customFormat="false" ht="15" hidden="false" customHeight="true" outlineLevel="0" collapsed="false">
      <c r="A25" s="17" t="s">
        <v>54</v>
      </c>
      <c r="B25" s="13" t="n">
        <f aca="false">MIN(B24,MAX(0,B20))</f>
        <v>5107.14285714286</v>
      </c>
    </row>
    <row r="26" customFormat="false" ht="15" hidden="false" customHeight="true" outlineLevel="0" collapsed="false">
      <c r="A26" s="17" t="s">
        <v>55</v>
      </c>
      <c r="B26" s="13" t="n">
        <f aca="false">MAX(0,B24-B25)</f>
        <v>0</v>
      </c>
    </row>
    <row r="27" customFormat="false" ht="15" hidden="false" customHeight="true" outlineLevel="0" collapsed="false">
      <c r="A27" s="17" t="s">
        <v>56</v>
      </c>
      <c r="B27" s="13" t="n">
        <f aca="false">MAX(0,B20-B25)</f>
        <v>1492.85714285714</v>
      </c>
    </row>
    <row r="28" customFormat="false" ht="15" hidden="false" customHeight="true" outlineLevel="0" collapsed="false">
      <c r="A28" s="20" t="s">
        <v>57</v>
      </c>
      <c r="B28" s="21" t="n">
        <f aca="false">B27*(B7+Barèmes!$B$9)</f>
        <v>725.528571428572</v>
      </c>
    </row>
    <row r="30" customFormat="false" ht="15" hidden="false" customHeight="true" outlineLevel="0" collapsed="false">
      <c r="A30" s="17" t="s">
        <v>58</v>
      </c>
      <c r="B30" s="22" t="str">
        <f aca="false">IF(B17="Oui",IF(B18&lt;=B28,"Micro-BIC","Réel"),"Réel (obligatoire)")</f>
        <v>Réel</v>
      </c>
    </row>
    <row r="31" customFormat="false" ht="15" hidden="false" customHeight="true" outlineLevel="0" collapsed="false">
      <c r="A31" s="17" t="s">
        <v>59</v>
      </c>
      <c r="B31" s="13" t="n">
        <f aca="false">IF(B17="Oui",B18-B28,"Micro-BIC non éligible, régime réel obligatoire")</f>
        <v>1315.67142857143</v>
      </c>
    </row>
    <row r="33" customFormat="false" ht="18.75" hidden="false" customHeight="true" outlineLevel="0" collapsed="false">
      <c r="A33" s="23" t="s">
        <v>60</v>
      </c>
    </row>
  </sheetData>
  <dataValidations count="3">
    <dataValidation allowBlank="false" errorStyle="stop" operator="between" showDropDown="false" showErrorMessage="false" showInputMessage="false" sqref="B4" type="list">
      <formula1>"Longue durée (résidence principale),Meublé de tourisme classé,Meublé de tourisme non classé"</formula1>
      <formula2>0</formula2>
    </dataValidation>
    <dataValidation allowBlank="false" errorStyle="stop" operator="between" showDropDown="false" showErrorMessage="false" showInputMessage="false" sqref="B5" type="list">
      <formula1>"2025,2026"</formula1>
      <formula2>0</formula2>
    </dataValidation>
    <dataValidation allowBlank="false" errorStyle="stop" operator="between" showDropDown="false" showErrorMessage="false" showInputMessage="false" sqref="B7" type="list">
      <formula1>"0,0.11,0.3,0.41,0.45"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6"/>
    <col collapsed="false" customWidth="true" hidden="false" outlineLevel="0" max="4" min="3" style="1" width="18"/>
    <col collapsed="false" customWidth="true" hidden="false" outlineLevel="0" max="6" min="5" style="1" width="16"/>
  </cols>
  <sheetData>
    <row r="1" customFormat="false" ht="21.75" hidden="false" customHeight="true" outlineLevel="0" collapsed="false">
      <c r="A1" s="2" t="s">
        <v>61</v>
      </c>
    </row>
    <row r="3" customFormat="false" ht="15" hidden="false" customHeight="true" outlineLevel="0" collapsed="false">
      <c r="A3" s="17" t="s">
        <v>41</v>
      </c>
      <c r="B3" s="18" t="n">
        <v>150000</v>
      </c>
    </row>
    <row r="4" customFormat="false" ht="15" hidden="false" customHeight="true" outlineLevel="0" collapsed="false">
      <c r="A4" s="17" t="s">
        <v>42</v>
      </c>
      <c r="B4" s="19" t="n">
        <v>0.15</v>
      </c>
    </row>
    <row r="5" customFormat="false" ht="15" hidden="false" customHeight="true" outlineLevel="0" collapsed="false">
      <c r="A5" s="17" t="s">
        <v>43</v>
      </c>
      <c r="B5" s="18" t="n">
        <v>6000</v>
      </c>
    </row>
    <row r="6" customFormat="false" ht="15" hidden="false" customHeight="true" outlineLevel="0" collapsed="false">
      <c r="A6" s="17" t="s">
        <v>44</v>
      </c>
      <c r="B6" s="18" t="n">
        <v>0</v>
      </c>
    </row>
    <row r="7" customFormat="false" ht="15" hidden="false" customHeight="true" outlineLevel="0" collapsed="false">
      <c r="A7" s="17" t="s">
        <v>62</v>
      </c>
      <c r="B7" s="5" t="n">
        <v>30</v>
      </c>
    </row>
    <row r="9" customFormat="false" ht="15" hidden="false" customHeight="true" outlineLevel="0" collapsed="false">
      <c r="A9" s="11" t="s">
        <v>63</v>
      </c>
      <c r="B9" s="11" t="s">
        <v>64</v>
      </c>
      <c r="C9" s="11" t="s">
        <v>65</v>
      </c>
      <c r="D9" s="11" t="s">
        <v>66</v>
      </c>
      <c r="E9" s="11" t="s">
        <v>67</v>
      </c>
      <c r="F9" s="11" t="s">
        <v>68</v>
      </c>
    </row>
    <row r="10" customFormat="false" ht="15" hidden="false" customHeight="true" outlineLevel="0" collapsed="false">
      <c r="A10" s="12" t="n">
        <v>1</v>
      </c>
      <c r="B10" s="13" t="n">
        <f aca="false">IF($A10&lt;=$B$7,($B$3*(1-$B$4))/$B$7,0)</f>
        <v>4250</v>
      </c>
      <c r="C10" s="13" t="n">
        <f aca="false">IF(AND($B$5&gt;0,$A10&lt;=Barèmes!$B$11),$B$5/Barèmes!$B$11,0)</f>
        <v>857.142857142857</v>
      </c>
      <c r="D10" s="13" t="n">
        <f aca="false">IF(AND($B$6&gt;0,$A10&lt;=Barèmes!$B$12),$B$6/Barèmes!$B$12,0)</f>
        <v>0</v>
      </c>
      <c r="E10" s="13" t="n">
        <f aca="false">B10+C10+D10</f>
        <v>5107.14285714286</v>
      </c>
      <c r="F10" s="13" t="n">
        <f aca="false">E10</f>
        <v>5107.14285714286</v>
      </c>
    </row>
    <row r="11" customFormat="false" ht="15" hidden="false" customHeight="true" outlineLevel="0" collapsed="false">
      <c r="A11" s="12" t="n">
        <f aca="false">A10+1</f>
        <v>2</v>
      </c>
      <c r="B11" s="13" t="n">
        <f aca="false">IF($A11&lt;=$B$7,($B$3*(1-$B$4))/$B$7,0)</f>
        <v>4250</v>
      </c>
      <c r="C11" s="13" t="n">
        <f aca="false">IF(AND($B$5&gt;0,$A11&lt;=Barèmes!$B$11),$B$5/Barèmes!$B$11,0)</f>
        <v>857.142857142857</v>
      </c>
      <c r="D11" s="13" t="n">
        <f aca="false">IF(AND($B$6&gt;0,$A11&lt;=Barèmes!$B$12),$B$6/Barèmes!$B$12,0)</f>
        <v>0</v>
      </c>
      <c r="E11" s="13" t="n">
        <f aca="false">B11+C11+D11</f>
        <v>5107.14285714286</v>
      </c>
      <c r="F11" s="13" t="n">
        <f aca="false">F10+E11</f>
        <v>10214.2857142857</v>
      </c>
    </row>
    <row r="12" customFormat="false" ht="15" hidden="false" customHeight="true" outlineLevel="0" collapsed="false">
      <c r="A12" s="12" t="n">
        <f aca="false">A11+1</f>
        <v>3</v>
      </c>
      <c r="B12" s="13" t="n">
        <f aca="false">IF($A12&lt;=$B$7,($B$3*(1-$B$4))/$B$7,0)</f>
        <v>4250</v>
      </c>
      <c r="C12" s="13" t="n">
        <f aca="false">IF(AND($B$5&gt;0,$A12&lt;=Barèmes!$B$11),$B$5/Barèmes!$B$11,0)</f>
        <v>857.142857142857</v>
      </c>
      <c r="D12" s="13" t="n">
        <f aca="false">IF(AND($B$6&gt;0,$A12&lt;=Barèmes!$B$12),$B$6/Barèmes!$B$12,0)</f>
        <v>0</v>
      </c>
      <c r="E12" s="13" t="n">
        <f aca="false">B12+C12+D12</f>
        <v>5107.14285714286</v>
      </c>
      <c r="F12" s="13" t="n">
        <f aca="false">F11+E12</f>
        <v>15321.4285714286</v>
      </c>
    </row>
    <row r="13" customFormat="false" ht="15" hidden="false" customHeight="true" outlineLevel="0" collapsed="false">
      <c r="A13" s="12" t="n">
        <f aca="false">A12+1</f>
        <v>4</v>
      </c>
      <c r="B13" s="13" t="n">
        <f aca="false">IF($A13&lt;=$B$7,($B$3*(1-$B$4))/$B$7,0)</f>
        <v>4250</v>
      </c>
      <c r="C13" s="13" t="n">
        <f aca="false">IF(AND($B$5&gt;0,$A13&lt;=Barèmes!$B$11),$B$5/Barèmes!$B$11,0)</f>
        <v>857.142857142857</v>
      </c>
      <c r="D13" s="13" t="n">
        <f aca="false">IF(AND($B$6&gt;0,$A13&lt;=Barèmes!$B$12),$B$6/Barèmes!$B$12,0)</f>
        <v>0</v>
      </c>
      <c r="E13" s="13" t="n">
        <f aca="false">B13+C13+D13</f>
        <v>5107.14285714286</v>
      </c>
      <c r="F13" s="13" t="n">
        <f aca="false">F12+E13</f>
        <v>20428.5714285714</v>
      </c>
    </row>
    <row r="14" customFormat="false" ht="15" hidden="false" customHeight="true" outlineLevel="0" collapsed="false">
      <c r="A14" s="12" t="n">
        <f aca="false">A13+1</f>
        <v>5</v>
      </c>
      <c r="B14" s="13" t="n">
        <f aca="false">IF($A14&lt;=$B$7,($B$3*(1-$B$4))/$B$7,0)</f>
        <v>4250</v>
      </c>
      <c r="C14" s="13" t="n">
        <f aca="false">IF(AND($B$5&gt;0,$A14&lt;=Barèmes!$B$11),$B$5/Barèmes!$B$11,0)</f>
        <v>857.142857142857</v>
      </c>
      <c r="D14" s="13" t="n">
        <f aca="false">IF(AND($B$6&gt;0,$A14&lt;=Barèmes!$B$12),$B$6/Barèmes!$B$12,0)</f>
        <v>0</v>
      </c>
      <c r="E14" s="13" t="n">
        <f aca="false">B14+C14+D14</f>
        <v>5107.14285714286</v>
      </c>
      <c r="F14" s="13" t="n">
        <f aca="false">F13+E14</f>
        <v>25535.7142857143</v>
      </c>
    </row>
    <row r="15" customFormat="false" ht="15" hidden="false" customHeight="true" outlineLevel="0" collapsed="false">
      <c r="A15" s="12" t="n">
        <f aca="false">A14+1</f>
        <v>6</v>
      </c>
      <c r="B15" s="13" t="n">
        <f aca="false">IF($A15&lt;=$B$7,($B$3*(1-$B$4))/$B$7,0)</f>
        <v>4250</v>
      </c>
      <c r="C15" s="13" t="n">
        <f aca="false">IF(AND($B$5&gt;0,$A15&lt;=Barèmes!$B$11),$B$5/Barèmes!$B$11,0)</f>
        <v>857.142857142857</v>
      </c>
      <c r="D15" s="13" t="n">
        <f aca="false">IF(AND($B$6&gt;0,$A15&lt;=Barèmes!$B$12),$B$6/Barèmes!$B$12,0)</f>
        <v>0</v>
      </c>
      <c r="E15" s="13" t="n">
        <f aca="false">B15+C15+D15</f>
        <v>5107.14285714286</v>
      </c>
      <c r="F15" s="13" t="n">
        <f aca="false">F14+E15</f>
        <v>30642.8571428571</v>
      </c>
    </row>
    <row r="16" customFormat="false" ht="15" hidden="false" customHeight="true" outlineLevel="0" collapsed="false">
      <c r="A16" s="12" t="n">
        <f aca="false">A15+1</f>
        <v>7</v>
      </c>
      <c r="B16" s="13" t="n">
        <f aca="false">IF($A16&lt;=$B$7,($B$3*(1-$B$4))/$B$7,0)</f>
        <v>4250</v>
      </c>
      <c r="C16" s="13" t="n">
        <f aca="false">IF(AND($B$5&gt;0,$A16&lt;=Barèmes!$B$11),$B$5/Barèmes!$B$11,0)</f>
        <v>857.142857142857</v>
      </c>
      <c r="D16" s="13" t="n">
        <f aca="false">IF(AND($B$6&gt;0,$A16&lt;=Barèmes!$B$12),$B$6/Barèmes!$B$12,0)</f>
        <v>0</v>
      </c>
      <c r="E16" s="13" t="n">
        <f aca="false">B16+C16+D16</f>
        <v>5107.14285714286</v>
      </c>
      <c r="F16" s="13" t="n">
        <f aca="false">F15+E16</f>
        <v>35750</v>
      </c>
    </row>
    <row r="17" customFormat="false" ht="15" hidden="false" customHeight="true" outlineLevel="0" collapsed="false">
      <c r="A17" s="12" t="n">
        <f aca="false">A16+1</f>
        <v>8</v>
      </c>
      <c r="B17" s="13" t="n">
        <f aca="false">IF($A17&lt;=$B$7,($B$3*(1-$B$4))/$B$7,0)</f>
        <v>4250</v>
      </c>
      <c r="C17" s="13" t="n">
        <f aca="false">IF(AND($B$5&gt;0,$A17&lt;=Barèmes!$B$11),$B$5/Barèmes!$B$11,0)</f>
        <v>0</v>
      </c>
      <c r="D17" s="13" t="n">
        <f aca="false">IF(AND($B$6&gt;0,$A17&lt;=Barèmes!$B$12),$B$6/Barèmes!$B$12,0)</f>
        <v>0</v>
      </c>
      <c r="E17" s="13" t="n">
        <f aca="false">B17+C17+D17</f>
        <v>4250</v>
      </c>
      <c r="F17" s="13" t="n">
        <f aca="false">F16+E17</f>
        <v>40000</v>
      </c>
    </row>
    <row r="18" customFormat="false" ht="15" hidden="false" customHeight="true" outlineLevel="0" collapsed="false">
      <c r="A18" s="12" t="n">
        <f aca="false">A17+1</f>
        <v>9</v>
      </c>
      <c r="B18" s="13" t="n">
        <f aca="false">IF($A18&lt;=$B$7,($B$3*(1-$B$4))/$B$7,0)</f>
        <v>4250</v>
      </c>
      <c r="C18" s="13" t="n">
        <f aca="false">IF(AND($B$5&gt;0,$A18&lt;=Barèmes!$B$11),$B$5/Barèmes!$B$11,0)</f>
        <v>0</v>
      </c>
      <c r="D18" s="13" t="n">
        <f aca="false">IF(AND($B$6&gt;0,$A18&lt;=Barèmes!$B$12),$B$6/Barèmes!$B$12,0)</f>
        <v>0</v>
      </c>
      <c r="E18" s="13" t="n">
        <f aca="false">B18+C18+D18</f>
        <v>4250</v>
      </c>
      <c r="F18" s="13" t="n">
        <f aca="false">F17+E18</f>
        <v>44250</v>
      </c>
    </row>
    <row r="19" customFormat="false" ht="15" hidden="false" customHeight="true" outlineLevel="0" collapsed="false">
      <c r="A19" s="12" t="n">
        <f aca="false">A18+1</f>
        <v>10</v>
      </c>
      <c r="B19" s="13" t="n">
        <f aca="false">IF($A19&lt;=$B$7,($B$3*(1-$B$4))/$B$7,0)</f>
        <v>4250</v>
      </c>
      <c r="C19" s="13" t="n">
        <f aca="false">IF(AND($B$5&gt;0,$A19&lt;=Barèmes!$B$11),$B$5/Barèmes!$B$11,0)</f>
        <v>0</v>
      </c>
      <c r="D19" s="13" t="n">
        <f aca="false">IF(AND($B$6&gt;0,$A19&lt;=Barèmes!$B$12),$B$6/Barèmes!$B$12,0)</f>
        <v>0</v>
      </c>
      <c r="E19" s="13" t="n">
        <f aca="false">B19+C19+D19</f>
        <v>4250</v>
      </c>
      <c r="F19" s="13" t="n">
        <f aca="false">F18+E19</f>
        <v>48500</v>
      </c>
    </row>
    <row r="20" customFormat="false" ht="15" hidden="false" customHeight="true" outlineLevel="0" collapsed="false">
      <c r="A20" s="12" t="n">
        <f aca="false">A19+1</f>
        <v>11</v>
      </c>
      <c r="B20" s="13" t="n">
        <f aca="false">IF($A20&lt;=$B$7,($B$3*(1-$B$4))/$B$7,0)</f>
        <v>4250</v>
      </c>
      <c r="C20" s="13" t="n">
        <f aca="false">IF(AND($B$5&gt;0,$A20&lt;=Barèmes!$B$11),$B$5/Barèmes!$B$11,0)</f>
        <v>0</v>
      </c>
      <c r="D20" s="13" t="n">
        <f aca="false">IF(AND($B$6&gt;0,$A20&lt;=Barèmes!$B$12),$B$6/Barèmes!$B$12,0)</f>
        <v>0</v>
      </c>
      <c r="E20" s="13" t="n">
        <f aca="false">B20+C20+D20</f>
        <v>4250</v>
      </c>
      <c r="F20" s="13" t="n">
        <f aca="false">F19+E20</f>
        <v>52750</v>
      </c>
    </row>
    <row r="21" customFormat="false" ht="15" hidden="false" customHeight="true" outlineLevel="0" collapsed="false">
      <c r="A21" s="12" t="n">
        <f aca="false">A20+1</f>
        <v>12</v>
      </c>
      <c r="B21" s="13" t="n">
        <f aca="false">IF($A21&lt;=$B$7,($B$3*(1-$B$4))/$B$7,0)</f>
        <v>4250</v>
      </c>
      <c r="C21" s="13" t="n">
        <f aca="false">IF(AND($B$5&gt;0,$A21&lt;=Barèmes!$B$11),$B$5/Barèmes!$B$11,0)</f>
        <v>0</v>
      </c>
      <c r="D21" s="13" t="n">
        <f aca="false">IF(AND($B$6&gt;0,$A21&lt;=Barèmes!$B$12),$B$6/Barèmes!$B$12,0)</f>
        <v>0</v>
      </c>
      <c r="E21" s="13" t="n">
        <f aca="false">B21+C21+D21</f>
        <v>4250</v>
      </c>
      <c r="F21" s="13" t="n">
        <f aca="false">F20+E21</f>
        <v>57000</v>
      </c>
    </row>
    <row r="22" customFormat="false" ht="15" hidden="false" customHeight="true" outlineLevel="0" collapsed="false">
      <c r="A22" s="12" t="n">
        <f aca="false">A21+1</f>
        <v>13</v>
      </c>
      <c r="B22" s="13" t="n">
        <f aca="false">IF($A22&lt;=$B$7,($B$3*(1-$B$4))/$B$7,0)</f>
        <v>4250</v>
      </c>
      <c r="C22" s="13" t="n">
        <f aca="false">IF(AND($B$5&gt;0,$A22&lt;=Barèmes!$B$11),$B$5/Barèmes!$B$11,0)</f>
        <v>0</v>
      </c>
      <c r="D22" s="13" t="n">
        <f aca="false">IF(AND($B$6&gt;0,$A22&lt;=Barèmes!$B$12),$B$6/Barèmes!$B$12,0)</f>
        <v>0</v>
      </c>
      <c r="E22" s="13" t="n">
        <f aca="false">B22+C22+D22</f>
        <v>4250</v>
      </c>
      <c r="F22" s="13" t="n">
        <f aca="false">F21+E22</f>
        <v>61250</v>
      </c>
    </row>
    <row r="23" customFormat="false" ht="15" hidden="false" customHeight="true" outlineLevel="0" collapsed="false">
      <c r="A23" s="12" t="n">
        <f aca="false">A22+1</f>
        <v>14</v>
      </c>
      <c r="B23" s="13" t="n">
        <f aca="false">IF($A23&lt;=$B$7,($B$3*(1-$B$4))/$B$7,0)</f>
        <v>4250</v>
      </c>
      <c r="C23" s="13" t="n">
        <f aca="false">IF(AND($B$5&gt;0,$A23&lt;=Barèmes!$B$11),$B$5/Barèmes!$B$11,0)</f>
        <v>0</v>
      </c>
      <c r="D23" s="13" t="n">
        <f aca="false">IF(AND($B$6&gt;0,$A23&lt;=Barèmes!$B$12),$B$6/Barèmes!$B$12,0)</f>
        <v>0</v>
      </c>
      <c r="E23" s="13" t="n">
        <f aca="false">B23+C23+D23</f>
        <v>4250</v>
      </c>
      <c r="F23" s="13" t="n">
        <f aca="false">F22+E23</f>
        <v>65500</v>
      </c>
    </row>
    <row r="24" customFormat="false" ht="15" hidden="false" customHeight="true" outlineLevel="0" collapsed="false">
      <c r="A24" s="12" t="n">
        <f aca="false">A23+1</f>
        <v>15</v>
      </c>
      <c r="B24" s="13" t="n">
        <f aca="false">IF($A24&lt;=$B$7,($B$3*(1-$B$4))/$B$7,0)</f>
        <v>4250</v>
      </c>
      <c r="C24" s="13" t="n">
        <f aca="false">IF(AND($B$5&gt;0,$A24&lt;=Barèmes!$B$11),$B$5/Barèmes!$B$11,0)</f>
        <v>0</v>
      </c>
      <c r="D24" s="13" t="n">
        <f aca="false">IF(AND($B$6&gt;0,$A24&lt;=Barèmes!$B$12),$B$6/Barèmes!$B$12,0)</f>
        <v>0</v>
      </c>
      <c r="E24" s="13" t="n">
        <f aca="false">B24+C24+D24</f>
        <v>4250</v>
      </c>
      <c r="F24" s="13" t="n">
        <f aca="false">F23+E24</f>
        <v>69750</v>
      </c>
    </row>
    <row r="25" customFormat="false" ht="15" hidden="false" customHeight="true" outlineLevel="0" collapsed="false">
      <c r="A25" s="12" t="n">
        <f aca="false">A24+1</f>
        <v>16</v>
      </c>
      <c r="B25" s="13" t="n">
        <f aca="false">IF($A25&lt;=$B$7,($B$3*(1-$B$4))/$B$7,0)</f>
        <v>4250</v>
      </c>
      <c r="C25" s="13" t="n">
        <f aca="false">IF(AND($B$5&gt;0,$A25&lt;=Barèmes!$B$11),$B$5/Barèmes!$B$11,0)</f>
        <v>0</v>
      </c>
      <c r="D25" s="13" t="n">
        <f aca="false">IF(AND($B$6&gt;0,$A25&lt;=Barèmes!$B$12),$B$6/Barèmes!$B$12,0)</f>
        <v>0</v>
      </c>
      <c r="E25" s="13" t="n">
        <f aca="false">B25+C25+D25</f>
        <v>4250</v>
      </c>
      <c r="F25" s="13" t="n">
        <f aca="false">F24+E25</f>
        <v>74000</v>
      </c>
    </row>
    <row r="26" customFormat="false" ht="15" hidden="false" customHeight="true" outlineLevel="0" collapsed="false">
      <c r="A26" s="12" t="n">
        <f aca="false">A25+1</f>
        <v>17</v>
      </c>
      <c r="B26" s="13" t="n">
        <f aca="false">IF($A26&lt;=$B$7,($B$3*(1-$B$4))/$B$7,0)</f>
        <v>4250</v>
      </c>
      <c r="C26" s="13" t="n">
        <f aca="false">IF(AND($B$5&gt;0,$A26&lt;=Barèmes!$B$11),$B$5/Barèmes!$B$11,0)</f>
        <v>0</v>
      </c>
      <c r="D26" s="13" t="n">
        <f aca="false">IF(AND($B$6&gt;0,$A26&lt;=Barèmes!$B$12),$B$6/Barèmes!$B$12,0)</f>
        <v>0</v>
      </c>
      <c r="E26" s="13" t="n">
        <f aca="false">B26+C26+D26</f>
        <v>4250</v>
      </c>
      <c r="F26" s="13" t="n">
        <f aca="false">F25+E26</f>
        <v>78250</v>
      </c>
    </row>
    <row r="27" customFormat="false" ht="15" hidden="false" customHeight="true" outlineLevel="0" collapsed="false">
      <c r="A27" s="12" t="n">
        <f aca="false">A26+1</f>
        <v>18</v>
      </c>
      <c r="B27" s="13" t="n">
        <f aca="false">IF($A27&lt;=$B$7,($B$3*(1-$B$4))/$B$7,0)</f>
        <v>4250</v>
      </c>
      <c r="C27" s="13" t="n">
        <f aca="false">IF(AND($B$5&gt;0,$A27&lt;=Barèmes!$B$11),$B$5/Barèmes!$B$11,0)</f>
        <v>0</v>
      </c>
      <c r="D27" s="13" t="n">
        <f aca="false">IF(AND($B$6&gt;0,$A27&lt;=Barèmes!$B$12),$B$6/Barèmes!$B$12,0)</f>
        <v>0</v>
      </c>
      <c r="E27" s="13" t="n">
        <f aca="false">B27+C27+D27</f>
        <v>4250</v>
      </c>
      <c r="F27" s="13" t="n">
        <f aca="false">F26+E27</f>
        <v>82500</v>
      </c>
    </row>
    <row r="28" customFormat="false" ht="15" hidden="false" customHeight="true" outlineLevel="0" collapsed="false">
      <c r="A28" s="12" t="n">
        <f aca="false">A27+1</f>
        <v>19</v>
      </c>
      <c r="B28" s="13" t="n">
        <f aca="false">IF($A28&lt;=$B$7,($B$3*(1-$B$4))/$B$7,0)</f>
        <v>4250</v>
      </c>
      <c r="C28" s="13" t="n">
        <f aca="false">IF(AND($B$5&gt;0,$A28&lt;=Barèmes!$B$11),$B$5/Barèmes!$B$11,0)</f>
        <v>0</v>
      </c>
      <c r="D28" s="13" t="n">
        <f aca="false">IF(AND($B$6&gt;0,$A28&lt;=Barèmes!$B$12),$B$6/Barèmes!$B$12,0)</f>
        <v>0</v>
      </c>
      <c r="E28" s="13" t="n">
        <f aca="false">B28+C28+D28</f>
        <v>4250</v>
      </c>
      <c r="F28" s="13" t="n">
        <f aca="false">F27+E28</f>
        <v>86750</v>
      </c>
    </row>
    <row r="29" customFormat="false" ht="15" hidden="false" customHeight="true" outlineLevel="0" collapsed="false">
      <c r="A29" s="12" t="n">
        <f aca="false">A28+1</f>
        <v>20</v>
      </c>
      <c r="B29" s="13" t="n">
        <f aca="false">IF($A29&lt;=$B$7,($B$3*(1-$B$4))/$B$7,0)</f>
        <v>4250</v>
      </c>
      <c r="C29" s="13" t="n">
        <f aca="false">IF(AND($B$5&gt;0,$A29&lt;=Barèmes!$B$11),$B$5/Barèmes!$B$11,0)</f>
        <v>0</v>
      </c>
      <c r="D29" s="13" t="n">
        <f aca="false">IF(AND($B$6&gt;0,$A29&lt;=Barèmes!$B$12),$B$6/Barèmes!$B$12,0)</f>
        <v>0</v>
      </c>
      <c r="E29" s="13" t="n">
        <f aca="false">B29+C29+D29</f>
        <v>4250</v>
      </c>
      <c r="F29" s="13" t="n">
        <f aca="false">F28+E29</f>
        <v>91000</v>
      </c>
    </row>
    <row r="30" customFormat="false" ht="15" hidden="false" customHeight="true" outlineLevel="0" collapsed="false">
      <c r="A30" s="12" t="n">
        <f aca="false">A29+1</f>
        <v>21</v>
      </c>
      <c r="B30" s="13" t="n">
        <f aca="false">IF($A30&lt;=$B$7,($B$3*(1-$B$4))/$B$7,0)</f>
        <v>4250</v>
      </c>
      <c r="C30" s="13" t="n">
        <f aca="false">IF(AND($B$5&gt;0,$A30&lt;=Barèmes!$B$11),$B$5/Barèmes!$B$11,0)</f>
        <v>0</v>
      </c>
      <c r="D30" s="13" t="n">
        <f aca="false">IF(AND($B$6&gt;0,$A30&lt;=Barèmes!$B$12),$B$6/Barèmes!$B$12,0)</f>
        <v>0</v>
      </c>
      <c r="E30" s="13" t="n">
        <f aca="false">B30+C30+D30</f>
        <v>4250</v>
      </c>
      <c r="F30" s="13" t="n">
        <f aca="false">F29+E30</f>
        <v>95250</v>
      </c>
    </row>
    <row r="31" customFormat="false" ht="15" hidden="false" customHeight="true" outlineLevel="0" collapsed="false">
      <c r="A31" s="12" t="n">
        <f aca="false">A30+1</f>
        <v>22</v>
      </c>
      <c r="B31" s="13" t="n">
        <f aca="false">IF($A31&lt;=$B$7,($B$3*(1-$B$4))/$B$7,0)</f>
        <v>4250</v>
      </c>
      <c r="C31" s="13" t="n">
        <f aca="false">IF(AND($B$5&gt;0,$A31&lt;=Barèmes!$B$11),$B$5/Barèmes!$B$11,0)</f>
        <v>0</v>
      </c>
      <c r="D31" s="13" t="n">
        <f aca="false">IF(AND($B$6&gt;0,$A31&lt;=Barèmes!$B$12),$B$6/Barèmes!$B$12,0)</f>
        <v>0</v>
      </c>
      <c r="E31" s="13" t="n">
        <f aca="false">B31+C31+D31</f>
        <v>4250</v>
      </c>
      <c r="F31" s="13" t="n">
        <f aca="false">F30+E31</f>
        <v>99500</v>
      </c>
    </row>
    <row r="32" customFormat="false" ht="15" hidden="false" customHeight="true" outlineLevel="0" collapsed="false">
      <c r="A32" s="12" t="n">
        <f aca="false">A31+1</f>
        <v>23</v>
      </c>
      <c r="B32" s="13" t="n">
        <f aca="false">IF($A32&lt;=$B$7,($B$3*(1-$B$4))/$B$7,0)</f>
        <v>4250</v>
      </c>
      <c r="C32" s="13" t="n">
        <f aca="false">IF(AND($B$5&gt;0,$A32&lt;=Barèmes!$B$11),$B$5/Barèmes!$B$11,0)</f>
        <v>0</v>
      </c>
      <c r="D32" s="13" t="n">
        <f aca="false">IF(AND($B$6&gt;0,$A32&lt;=Barèmes!$B$12),$B$6/Barèmes!$B$12,0)</f>
        <v>0</v>
      </c>
      <c r="E32" s="13" t="n">
        <f aca="false">B32+C32+D32</f>
        <v>4250</v>
      </c>
      <c r="F32" s="13" t="n">
        <f aca="false">F31+E32</f>
        <v>103750</v>
      </c>
    </row>
    <row r="33" customFormat="false" ht="15" hidden="false" customHeight="true" outlineLevel="0" collapsed="false">
      <c r="A33" s="12" t="n">
        <f aca="false">A32+1</f>
        <v>24</v>
      </c>
      <c r="B33" s="13" t="n">
        <f aca="false">IF($A33&lt;=$B$7,($B$3*(1-$B$4))/$B$7,0)</f>
        <v>4250</v>
      </c>
      <c r="C33" s="13" t="n">
        <f aca="false">IF(AND($B$5&gt;0,$A33&lt;=Barèmes!$B$11),$B$5/Barèmes!$B$11,0)</f>
        <v>0</v>
      </c>
      <c r="D33" s="13" t="n">
        <f aca="false">IF(AND($B$6&gt;0,$A33&lt;=Barèmes!$B$12),$B$6/Barèmes!$B$12,0)</f>
        <v>0</v>
      </c>
      <c r="E33" s="13" t="n">
        <f aca="false">B33+C33+D33</f>
        <v>4250</v>
      </c>
      <c r="F33" s="13" t="n">
        <f aca="false">F32+E33</f>
        <v>108000</v>
      </c>
    </row>
    <row r="34" customFormat="false" ht="15" hidden="false" customHeight="true" outlineLevel="0" collapsed="false">
      <c r="A34" s="12" t="n">
        <f aca="false">A33+1</f>
        <v>25</v>
      </c>
      <c r="B34" s="13" t="n">
        <f aca="false">IF($A34&lt;=$B$7,($B$3*(1-$B$4))/$B$7,0)</f>
        <v>4250</v>
      </c>
      <c r="C34" s="13" t="n">
        <f aca="false">IF(AND($B$5&gt;0,$A34&lt;=Barèmes!$B$11),$B$5/Barèmes!$B$11,0)</f>
        <v>0</v>
      </c>
      <c r="D34" s="13" t="n">
        <f aca="false">IF(AND($B$6&gt;0,$A34&lt;=Barèmes!$B$12),$B$6/Barèmes!$B$12,0)</f>
        <v>0</v>
      </c>
      <c r="E34" s="13" t="n">
        <f aca="false">B34+C34+D34</f>
        <v>4250</v>
      </c>
      <c r="F34" s="13" t="n">
        <f aca="false">F33+E34</f>
        <v>112250</v>
      </c>
    </row>
    <row r="35" customFormat="false" ht="15" hidden="false" customHeight="true" outlineLevel="0" collapsed="false">
      <c r="A35" s="12" t="n">
        <f aca="false">A34+1</f>
        <v>26</v>
      </c>
      <c r="B35" s="13" t="n">
        <f aca="false">IF($A35&lt;=$B$7,($B$3*(1-$B$4))/$B$7,0)</f>
        <v>4250</v>
      </c>
      <c r="C35" s="13" t="n">
        <f aca="false">IF(AND($B$5&gt;0,$A35&lt;=Barèmes!$B$11),$B$5/Barèmes!$B$11,0)</f>
        <v>0</v>
      </c>
      <c r="D35" s="13" t="n">
        <f aca="false">IF(AND($B$6&gt;0,$A35&lt;=Barèmes!$B$12),$B$6/Barèmes!$B$12,0)</f>
        <v>0</v>
      </c>
      <c r="E35" s="13" t="n">
        <f aca="false">B35+C35+D35</f>
        <v>4250</v>
      </c>
      <c r="F35" s="13" t="n">
        <f aca="false">F34+E35</f>
        <v>116500</v>
      </c>
    </row>
    <row r="36" customFormat="false" ht="15" hidden="false" customHeight="true" outlineLevel="0" collapsed="false">
      <c r="A36" s="12" t="n">
        <f aca="false">A35+1</f>
        <v>27</v>
      </c>
      <c r="B36" s="13" t="n">
        <f aca="false">IF($A36&lt;=$B$7,($B$3*(1-$B$4))/$B$7,0)</f>
        <v>4250</v>
      </c>
      <c r="C36" s="13" t="n">
        <f aca="false">IF(AND($B$5&gt;0,$A36&lt;=Barèmes!$B$11),$B$5/Barèmes!$B$11,0)</f>
        <v>0</v>
      </c>
      <c r="D36" s="13" t="n">
        <f aca="false">IF(AND($B$6&gt;0,$A36&lt;=Barèmes!$B$12),$B$6/Barèmes!$B$12,0)</f>
        <v>0</v>
      </c>
      <c r="E36" s="13" t="n">
        <f aca="false">B36+C36+D36</f>
        <v>4250</v>
      </c>
      <c r="F36" s="13" t="n">
        <f aca="false">F35+E36</f>
        <v>120750</v>
      </c>
    </row>
    <row r="37" customFormat="false" ht="15" hidden="false" customHeight="true" outlineLevel="0" collapsed="false">
      <c r="A37" s="12" t="n">
        <f aca="false">A36+1</f>
        <v>28</v>
      </c>
      <c r="B37" s="13" t="n">
        <f aca="false">IF($A37&lt;=$B$7,($B$3*(1-$B$4))/$B$7,0)</f>
        <v>4250</v>
      </c>
      <c r="C37" s="13" t="n">
        <f aca="false">IF(AND($B$5&gt;0,$A37&lt;=Barèmes!$B$11),$B$5/Barèmes!$B$11,0)</f>
        <v>0</v>
      </c>
      <c r="D37" s="13" t="n">
        <f aca="false">IF(AND($B$6&gt;0,$A37&lt;=Barèmes!$B$12),$B$6/Barèmes!$B$12,0)</f>
        <v>0</v>
      </c>
      <c r="E37" s="13" t="n">
        <f aca="false">B37+C37+D37</f>
        <v>4250</v>
      </c>
      <c r="F37" s="13" t="n">
        <f aca="false">F36+E37</f>
        <v>125000</v>
      </c>
    </row>
    <row r="38" customFormat="false" ht="15" hidden="false" customHeight="true" outlineLevel="0" collapsed="false">
      <c r="A38" s="12" t="n">
        <f aca="false">A37+1</f>
        <v>29</v>
      </c>
      <c r="B38" s="13" t="n">
        <f aca="false">IF($A38&lt;=$B$7,($B$3*(1-$B$4))/$B$7,0)</f>
        <v>4250</v>
      </c>
      <c r="C38" s="13" t="n">
        <f aca="false">IF(AND($B$5&gt;0,$A38&lt;=Barèmes!$B$11),$B$5/Barèmes!$B$11,0)</f>
        <v>0</v>
      </c>
      <c r="D38" s="13" t="n">
        <f aca="false">IF(AND($B$6&gt;0,$A38&lt;=Barèmes!$B$12),$B$6/Barèmes!$B$12,0)</f>
        <v>0</v>
      </c>
      <c r="E38" s="13" t="n">
        <f aca="false">B38+C38+D38</f>
        <v>4250</v>
      </c>
      <c r="F38" s="13" t="n">
        <f aca="false">F37+E38</f>
        <v>129250</v>
      </c>
    </row>
    <row r="39" customFormat="false" ht="15" hidden="false" customHeight="true" outlineLevel="0" collapsed="false">
      <c r="A39" s="12" t="n">
        <f aca="false">A38+1</f>
        <v>30</v>
      </c>
      <c r="B39" s="13" t="n">
        <f aca="false">IF($A39&lt;=$B$7,($B$3*(1-$B$4))/$B$7,0)</f>
        <v>4250</v>
      </c>
      <c r="C39" s="13" t="n">
        <f aca="false">IF(AND($B$5&gt;0,$A39&lt;=Barèmes!$B$11),$B$5/Barèmes!$B$11,0)</f>
        <v>0</v>
      </c>
      <c r="D39" s="13" t="n">
        <f aca="false">IF(AND($B$6&gt;0,$A39&lt;=Barèmes!$B$12),$B$6/Barèmes!$B$12,0)</f>
        <v>0</v>
      </c>
      <c r="E39" s="13" t="n">
        <f aca="false">B39+C39+D39</f>
        <v>4250</v>
      </c>
      <c r="F39" s="13" t="n">
        <f aca="false">F38+E39</f>
        <v>133500</v>
      </c>
    </row>
    <row r="40" customFormat="false" ht="15" hidden="false" customHeight="true" outlineLevel="0" collapsed="false">
      <c r="A40" s="12" t="n">
        <f aca="false">A39+1</f>
        <v>31</v>
      </c>
      <c r="B40" s="13" t="n">
        <f aca="false">IF($A40&lt;=$B$7,($B$3*(1-$B$4))/$B$7,0)</f>
        <v>0</v>
      </c>
      <c r="C40" s="13" t="n">
        <f aca="false">IF(AND($B$5&gt;0,$A40&lt;=Barèmes!$B$11),$B$5/Barèmes!$B$11,0)</f>
        <v>0</v>
      </c>
      <c r="D40" s="13" t="n">
        <f aca="false">IF(AND($B$6&gt;0,$A40&lt;=Barèmes!$B$12),$B$6/Barèmes!$B$12,0)</f>
        <v>0</v>
      </c>
      <c r="E40" s="13" t="n">
        <f aca="false">B40+C40+D40</f>
        <v>0</v>
      </c>
      <c r="F40" s="13" t="n">
        <f aca="false">F39+E40</f>
        <v>133500</v>
      </c>
    </row>
    <row r="41" customFormat="false" ht="15" hidden="false" customHeight="true" outlineLevel="0" collapsed="false">
      <c r="A41" s="12" t="n">
        <f aca="false">A40+1</f>
        <v>32</v>
      </c>
      <c r="B41" s="13" t="n">
        <f aca="false">IF($A41&lt;=$B$7,($B$3*(1-$B$4))/$B$7,0)</f>
        <v>0</v>
      </c>
      <c r="C41" s="13" t="n">
        <f aca="false">IF(AND($B$5&gt;0,$A41&lt;=Barèmes!$B$11),$B$5/Barèmes!$B$11,0)</f>
        <v>0</v>
      </c>
      <c r="D41" s="13" t="n">
        <f aca="false">IF(AND($B$6&gt;0,$A41&lt;=Barèmes!$B$12),$B$6/Barèmes!$B$12,0)</f>
        <v>0</v>
      </c>
      <c r="E41" s="13" t="n">
        <f aca="false">B41+C41+D41</f>
        <v>0</v>
      </c>
      <c r="F41" s="13" t="n">
        <f aca="false">F40+E41</f>
        <v>133500</v>
      </c>
    </row>
    <row r="42" customFormat="false" ht="15" hidden="false" customHeight="true" outlineLevel="0" collapsed="false">
      <c r="A42" s="12" t="n">
        <f aca="false">A41+1</f>
        <v>33</v>
      </c>
      <c r="B42" s="13" t="n">
        <f aca="false">IF($A42&lt;=$B$7,($B$3*(1-$B$4))/$B$7,0)</f>
        <v>0</v>
      </c>
      <c r="C42" s="13" t="n">
        <f aca="false">IF(AND($B$5&gt;0,$A42&lt;=Barèmes!$B$11),$B$5/Barèmes!$B$11,0)</f>
        <v>0</v>
      </c>
      <c r="D42" s="13" t="n">
        <f aca="false">IF(AND($B$6&gt;0,$A42&lt;=Barèmes!$B$12),$B$6/Barèmes!$B$12,0)</f>
        <v>0</v>
      </c>
      <c r="E42" s="13" t="n">
        <f aca="false">B42+C42+D42</f>
        <v>0</v>
      </c>
      <c r="F42" s="13" t="n">
        <f aca="false">F41+E42</f>
        <v>133500</v>
      </c>
    </row>
    <row r="43" customFormat="false" ht="15" hidden="false" customHeight="true" outlineLevel="0" collapsed="false">
      <c r="A43" s="12" t="n">
        <f aca="false">A42+1</f>
        <v>34</v>
      </c>
      <c r="B43" s="13" t="n">
        <f aca="false">IF($A43&lt;=$B$7,($B$3*(1-$B$4))/$B$7,0)</f>
        <v>0</v>
      </c>
      <c r="C43" s="13" t="n">
        <f aca="false">IF(AND($B$5&gt;0,$A43&lt;=Barèmes!$B$11),$B$5/Barèmes!$B$11,0)</f>
        <v>0</v>
      </c>
      <c r="D43" s="13" t="n">
        <f aca="false">IF(AND($B$6&gt;0,$A43&lt;=Barèmes!$B$12),$B$6/Barèmes!$B$12,0)</f>
        <v>0</v>
      </c>
      <c r="E43" s="13" t="n">
        <f aca="false">B43+C43+D43</f>
        <v>0</v>
      </c>
      <c r="F43" s="13" t="n">
        <f aca="false">F42+E43</f>
        <v>133500</v>
      </c>
    </row>
    <row r="44" customFormat="false" ht="15" hidden="false" customHeight="true" outlineLevel="0" collapsed="false">
      <c r="A44" s="12" t="n">
        <f aca="false">A43+1</f>
        <v>35</v>
      </c>
      <c r="B44" s="13" t="n">
        <f aca="false">IF($A44&lt;=$B$7,($B$3*(1-$B$4))/$B$7,0)</f>
        <v>0</v>
      </c>
      <c r="C44" s="13" t="n">
        <f aca="false">IF(AND($B$5&gt;0,$A44&lt;=Barèmes!$B$11),$B$5/Barèmes!$B$11,0)</f>
        <v>0</v>
      </c>
      <c r="D44" s="13" t="n">
        <f aca="false">IF(AND($B$6&gt;0,$A44&lt;=Barèmes!$B$12),$B$6/Barèmes!$B$12,0)</f>
        <v>0</v>
      </c>
      <c r="E44" s="13" t="n">
        <f aca="false">B44+C44+D44</f>
        <v>0</v>
      </c>
      <c r="F44" s="13" t="n">
        <f aca="false">F43+E44</f>
        <v>133500</v>
      </c>
    </row>
    <row r="45" customFormat="false" ht="15" hidden="false" customHeight="true" outlineLevel="0" collapsed="false">
      <c r="A45" s="12" t="n">
        <f aca="false">A44+1</f>
        <v>36</v>
      </c>
      <c r="B45" s="13" t="n">
        <f aca="false">IF($A45&lt;=$B$7,($B$3*(1-$B$4))/$B$7,0)</f>
        <v>0</v>
      </c>
      <c r="C45" s="13" t="n">
        <f aca="false">IF(AND($B$5&gt;0,$A45&lt;=Barèmes!$B$11),$B$5/Barèmes!$B$11,0)</f>
        <v>0</v>
      </c>
      <c r="D45" s="13" t="n">
        <f aca="false">IF(AND($B$6&gt;0,$A45&lt;=Barèmes!$B$12),$B$6/Barèmes!$B$12,0)</f>
        <v>0</v>
      </c>
      <c r="E45" s="13" t="n">
        <f aca="false">B45+C45+D45</f>
        <v>0</v>
      </c>
      <c r="F45" s="13" t="n">
        <f aca="false">F44+E45</f>
        <v>133500</v>
      </c>
    </row>
    <row r="46" customFormat="false" ht="15" hidden="false" customHeight="true" outlineLevel="0" collapsed="false">
      <c r="A46" s="12" t="n">
        <f aca="false">A45+1</f>
        <v>37</v>
      </c>
      <c r="B46" s="13" t="n">
        <f aca="false">IF($A46&lt;=$B$7,($B$3*(1-$B$4))/$B$7,0)</f>
        <v>0</v>
      </c>
      <c r="C46" s="13" t="n">
        <f aca="false">IF(AND($B$5&gt;0,$A46&lt;=Barèmes!$B$11),$B$5/Barèmes!$B$11,0)</f>
        <v>0</v>
      </c>
      <c r="D46" s="13" t="n">
        <f aca="false">IF(AND($B$6&gt;0,$A46&lt;=Barèmes!$B$12),$B$6/Barèmes!$B$12,0)</f>
        <v>0</v>
      </c>
      <c r="E46" s="13" t="n">
        <f aca="false">B46+C46+D46</f>
        <v>0</v>
      </c>
      <c r="F46" s="13" t="n">
        <f aca="false">F45+E46</f>
        <v>133500</v>
      </c>
    </row>
    <row r="47" customFormat="false" ht="15" hidden="false" customHeight="true" outlineLevel="0" collapsed="false">
      <c r="A47" s="12" t="n">
        <f aca="false">A46+1</f>
        <v>38</v>
      </c>
      <c r="B47" s="13" t="n">
        <f aca="false">IF($A47&lt;=$B$7,($B$3*(1-$B$4))/$B$7,0)</f>
        <v>0</v>
      </c>
      <c r="C47" s="13" t="n">
        <f aca="false">IF(AND($B$5&gt;0,$A47&lt;=Barèmes!$B$11),$B$5/Barèmes!$B$11,0)</f>
        <v>0</v>
      </c>
      <c r="D47" s="13" t="n">
        <f aca="false">IF(AND($B$6&gt;0,$A47&lt;=Barèmes!$B$12),$B$6/Barèmes!$B$12,0)</f>
        <v>0</v>
      </c>
      <c r="E47" s="13" t="n">
        <f aca="false">B47+C47+D47</f>
        <v>0</v>
      </c>
      <c r="F47" s="13" t="n">
        <f aca="false">F46+E47</f>
        <v>133500</v>
      </c>
    </row>
    <row r="48" customFormat="false" ht="15" hidden="false" customHeight="true" outlineLevel="0" collapsed="false">
      <c r="A48" s="12" t="n">
        <f aca="false">A47+1</f>
        <v>39</v>
      </c>
      <c r="B48" s="13" t="n">
        <f aca="false">IF($A48&lt;=$B$7,($B$3*(1-$B$4))/$B$7,0)</f>
        <v>0</v>
      </c>
      <c r="C48" s="13" t="n">
        <f aca="false">IF(AND($B$5&gt;0,$A48&lt;=Barèmes!$B$11),$B$5/Barèmes!$B$11,0)</f>
        <v>0</v>
      </c>
      <c r="D48" s="13" t="n">
        <f aca="false">IF(AND($B$6&gt;0,$A48&lt;=Barèmes!$B$12),$B$6/Barèmes!$B$12,0)</f>
        <v>0</v>
      </c>
      <c r="E48" s="13" t="n">
        <f aca="false">B48+C48+D48</f>
        <v>0</v>
      </c>
      <c r="F48" s="13" t="n">
        <f aca="false">F47+E48</f>
        <v>133500</v>
      </c>
    </row>
    <row r="49" customFormat="false" ht="15" hidden="false" customHeight="true" outlineLevel="0" collapsed="false">
      <c r="A49" s="12" t="n">
        <f aca="false">A48+1</f>
        <v>40</v>
      </c>
      <c r="B49" s="13" t="n">
        <f aca="false">IF($A49&lt;=$B$7,($B$3*(1-$B$4))/$B$7,0)</f>
        <v>0</v>
      </c>
      <c r="C49" s="13" t="n">
        <f aca="false">IF(AND($B$5&gt;0,$A49&lt;=Barèmes!$B$11),$B$5/Barèmes!$B$11,0)</f>
        <v>0</v>
      </c>
      <c r="D49" s="13" t="n">
        <f aca="false">IF(AND($B$6&gt;0,$A49&lt;=Barèmes!$B$12),$B$6/Barèmes!$B$12,0)</f>
        <v>0</v>
      </c>
      <c r="E49" s="13" t="n">
        <f aca="false">B49+C49+D49</f>
        <v>0</v>
      </c>
      <c r="F49" s="13" t="n">
        <f aca="false">F48+E49</f>
        <v>133500</v>
      </c>
    </row>
    <row r="51" customFormat="false" ht="27.75" hidden="false" customHeight="true" outlineLevel="0" collapsed="false">
      <c r="A51" s="24" t="s">
        <v>69</v>
      </c>
    </row>
  </sheetData>
  <dataValidations count="1">
    <dataValidation allowBlank="false" errorStyle="stop" operator="between" showDropDown="false" showErrorMessage="false" showInputMessage="false" sqref="B7" type="list">
      <formula1>"25,30,35,40"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24"/>
  </cols>
  <sheetData>
    <row r="1" customFormat="false" ht="21.75" hidden="false" customHeight="true" outlineLevel="0" collapsed="false">
      <c r="A1" s="2" t="s">
        <v>70</v>
      </c>
    </row>
    <row r="3" customFormat="false" ht="15" hidden="false" customHeight="true" outlineLevel="0" collapsed="false">
      <c r="A3" s="17" t="s">
        <v>71</v>
      </c>
      <c r="B3" s="18" t="n">
        <v>150000</v>
      </c>
    </row>
    <row r="4" customFormat="false" ht="15" hidden="false" customHeight="true" outlineLevel="0" collapsed="false">
      <c r="A4" s="17" t="s">
        <v>72</v>
      </c>
      <c r="B4" s="5" t="s">
        <v>73</v>
      </c>
    </row>
    <row r="5" customFormat="false" ht="15" hidden="false" customHeight="true" outlineLevel="0" collapsed="false">
      <c r="A5" s="17" t="s">
        <v>74</v>
      </c>
      <c r="B5" s="18" t="n">
        <v>0</v>
      </c>
    </row>
    <row r="6" customFormat="false" ht="15" hidden="false" customHeight="true" outlineLevel="0" collapsed="false">
      <c r="A6" s="17" t="s">
        <v>42</v>
      </c>
      <c r="B6" s="19" t="n">
        <v>0.15</v>
      </c>
    </row>
    <row r="7" customFormat="false" ht="15" hidden="false" customHeight="true" outlineLevel="0" collapsed="false">
      <c r="A7" s="17" t="s">
        <v>43</v>
      </c>
      <c r="B7" s="18" t="n">
        <v>6000</v>
      </c>
    </row>
    <row r="8" customFormat="false" ht="15" hidden="false" customHeight="true" outlineLevel="0" collapsed="false">
      <c r="A8" s="17" t="s">
        <v>44</v>
      </c>
      <c r="B8" s="18" t="n">
        <v>0</v>
      </c>
    </row>
    <row r="10" customFormat="false" ht="15" hidden="false" customHeight="true" outlineLevel="0" collapsed="false">
      <c r="A10" s="17" t="s">
        <v>75</v>
      </c>
      <c r="B10" s="18" t="n">
        <v>8400</v>
      </c>
    </row>
    <row r="11" customFormat="false" ht="15" hidden="false" customHeight="true" outlineLevel="0" collapsed="false">
      <c r="A11" s="17" t="s">
        <v>19</v>
      </c>
      <c r="B11" s="5" t="s">
        <v>23</v>
      </c>
    </row>
    <row r="12" customFormat="false" ht="15" hidden="false" customHeight="true" outlineLevel="0" collapsed="false">
      <c r="A12" s="17" t="s">
        <v>38</v>
      </c>
      <c r="B12" s="5" t="n">
        <v>2026</v>
      </c>
    </row>
    <row r="13" customFormat="false" ht="15" hidden="false" customHeight="true" outlineLevel="0" collapsed="false">
      <c r="A13" s="17" t="s">
        <v>39</v>
      </c>
      <c r="B13" s="18" t="n">
        <v>1800</v>
      </c>
    </row>
    <row r="14" customFormat="false" ht="15" hidden="false" customHeight="true" outlineLevel="0" collapsed="false">
      <c r="A14" s="17" t="s">
        <v>40</v>
      </c>
      <c r="B14" s="19" t="n">
        <v>0.3</v>
      </c>
    </row>
    <row r="16" customFormat="false" ht="15" hidden="false" customHeight="true" outlineLevel="0" collapsed="false">
      <c r="A16" s="17" t="s">
        <v>76</v>
      </c>
      <c r="B16" s="13" t="n">
        <f aca="false">IF(B4="Forfait 7,5%",B3*Barèmes!$B$13,B5)</f>
        <v>11250</v>
      </c>
    </row>
    <row r="17" customFormat="false" ht="15" hidden="false" customHeight="true" outlineLevel="0" collapsed="false">
      <c r="A17" s="20" t="s">
        <v>77</v>
      </c>
      <c r="B17" s="21" t="n">
        <f aca="false">B3+B16+B7+B8</f>
        <v>167250</v>
      </c>
    </row>
    <row r="19" customFormat="false" ht="15" hidden="false" customHeight="true" outlineLevel="0" collapsed="false">
      <c r="A19" s="17" t="s">
        <v>45</v>
      </c>
      <c r="B19" s="13" t="n">
        <f aca="false">IF(B12=2025,INDEX(Barèmes!$B$5:$B$7,MATCH(B11,Barèmes!$A$5:$A$7,0)),INDEX(Barèmes!$C$5:$C$7,MATCH(B11,Barèmes!$A$5:$A$7,0)))</f>
        <v>83600</v>
      </c>
    </row>
    <row r="20" customFormat="false" ht="15" hidden="false" customHeight="true" outlineLevel="0" collapsed="false">
      <c r="A20" s="17" t="s">
        <v>22</v>
      </c>
      <c r="B20" s="14" t="n">
        <f aca="false">INDEX(Barèmes!$D$5:$D$7,MATCH(B11,Barèmes!$A$5:$A$7,0))</f>
        <v>0.5</v>
      </c>
    </row>
    <row r="21" customFormat="false" ht="15" hidden="false" customHeight="true" outlineLevel="0" collapsed="false">
      <c r="A21" s="17" t="s">
        <v>46</v>
      </c>
      <c r="B21" s="13" t="n">
        <f aca="false">B10*(1-B20)</f>
        <v>4200</v>
      </c>
    </row>
    <row r="22" customFormat="false" ht="15" hidden="false" customHeight="true" outlineLevel="0" collapsed="false">
      <c r="A22" s="17" t="s">
        <v>47</v>
      </c>
      <c r="B22" s="12" t="str">
        <f aca="false">IF(B10&lt;=B19,"Oui","Non")</f>
        <v>Oui</v>
      </c>
    </row>
    <row r="23" customFormat="false" ht="15" hidden="false" customHeight="true" outlineLevel="0" collapsed="false">
      <c r="A23" s="17" t="s">
        <v>48</v>
      </c>
      <c r="B23" s="13" t="n">
        <f aca="false">IF(B22="Oui",B21*(B14+Barèmes!$B$9),"Non éligible")</f>
        <v>2041.2</v>
      </c>
    </row>
    <row r="25" customFormat="false" ht="15" hidden="false" customHeight="true" outlineLevel="0" collapsed="false">
      <c r="A25" s="17" t="s">
        <v>49</v>
      </c>
      <c r="B25" s="13" t="n">
        <f aca="false">B10-B13</f>
        <v>6600</v>
      </c>
    </row>
    <row r="26" customFormat="false" ht="15" hidden="false" customHeight="true" outlineLevel="0" collapsed="false">
      <c r="A26" s="17" t="s">
        <v>50</v>
      </c>
      <c r="B26" s="13" t="n">
        <f aca="false">B3*(1-B6)/Barèmes!$B$10</f>
        <v>4250</v>
      </c>
    </row>
    <row r="27" customFormat="false" ht="15" hidden="false" customHeight="true" outlineLevel="0" collapsed="false">
      <c r="A27" s="17" t="s">
        <v>51</v>
      </c>
      <c r="B27" s="13" t="n">
        <f aca="false">IF(B7&gt;0,B7/Barèmes!$B$11,0)</f>
        <v>857.142857142857</v>
      </c>
    </row>
    <row r="28" customFormat="false" ht="15" hidden="false" customHeight="true" outlineLevel="0" collapsed="false">
      <c r="A28" s="17" t="s">
        <v>52</v>
      </c>
      <c r="B28" s="13" t="n">
        <f aca="false">IF(B8&gt;0,B8/Barèmes!$B$12,0)</f>
        <v>0</v>
      </c>
    </row>
    <row r="29" customFormat="false" ht="15" hidden="false" customHeight="true" outlineLevel="0" collapsed="false">
      <c r="A29" s="17" t="s">
        <v>53</v>
      </c>
      <c r="B29" s="13" t="n">
        <f aca="false">B26+B27+B28</f>
        <v>5107.14285714286</v>
      </c>
    </row>
    <row r="30" customFormat="false" ht="15" hidden="false" customHeight="true" outlineLevel="0" collapsed="false">
      <c r="A30" s="17" t="s">
        <v>78</v>
      </c>
      <c r="B30" s="13" t="n">
        <f aca="false">MIN(B29,MAX(0,B25))</f>
        <v>5107.14285714286</v>
      </c>
    </row>
    <row r="31" customFormat="false" ht="15" hidden="false" customHeight="true" outlineLevel="0" collapsed="false">
      <c r="A31" s="17" t="s">
        <v>56</v>
      </c>
      <c r="B31" s="13" t="n">
        <f aca="false">MAX(0,B25-B30)</f>
        <v>1492.85714285714</v>
      </c>
    </row>
    <row r="32" customFormat="false" ht="15" hidden="false" customHeight="true" outlineLevel="0" collapsed="false">
      <c r="A32" s="17" t="s">
        <v>57</v>
      </c>
      <c r="B32" s="13" t="n">
        <f aca="false">B31*(B14+Barèmes!$B$9)</f>
        <v>725.528571428572</v>
      </c>
    </row>
    <row r="34" customFormat="false" ht="15" hidden="false" customHeight="true" outlineLevel="0" collapsed="false">
      <c r="A34" s="17" t="s">
        <v>58</v>
      </c>
      <c r="B34" s="12" t="str">
        <f aca="false">IF(B22="Oui",IF(B23&lt;=B32,"Micro-BIC","Réel"),"Réel (obligatoire)")</f>
        <v>Réel</v>
      </c>
    </row>
    <row r="35" customFormat="false" ht="15" hidden="false" customHeight="true" outlineLevel="0" collapsed="false">
      <c r="A35" s="17" t="s">
        <v>79</v>
      </c>
      <c r="B35" s="13" t="n">
        <f aca="false">IF(B22="Oui",MIN(B23,B32),B32)</f>
        <v>725.528571428572</v>
      </c>
    </row>
    <row r="37" customFormat="false" ht="15" hidden="false" customHeight="true" outlineLevel="0" collapsed="false">
      <c r="A37" s="20" t="s">
        <v>80</v>
      </c>
      <c r="B37" s="25" t="n">
        <f aca="false">IF(B17=0,0,B10/B17)</f>
        <v>0.0502242152466368</v>
      </c>
    </row>
    <row r="38" customFormat="false" ht="15" hidden="false" customHeight="true" outlineLevel="0" collapsed="false">
      <c r="A38" s="20" t="s">
        <v>81</v>
      </c>
      <c r="B38" s="25" t="n">
        <f aca="false">IF(B17=0,0,(B10-B13)/B17)</f>
        <v>0.0394618834080717</v>
      </c>
    </row>
    <row r="39" customFormat="false" ht="15" hidden="false" customHeight="true" outlineLevel="0" collapsed="false">
      <c r="A39" s="20" t="s">
        <v>82</v>
      </c>
      <c r="B39" s="25" t="n">
        <f aca="false">IF(B17=0,0,(B10-B13-B35)/B17)</f>
        <v>0.0351238949391416</v>
      </c>
    </row>
    <row r="41" customFormat="false" ht="18.75" hidden="false" customHeight="true" outlineLevel="0" collapsed="false">
      <c r="A41" s="24" t="s">
        <v>83</v>
      </c>
    </row>
  </sheetData>
  <dataValidations count="4">
    <dataValidation allowBlank="false" errorStyle="stop" operator="between" showDropDown="false" showErrorMessage="false" showInputMessage="false" sqref="B11" type="list">
      <formula1>"Longue durée (résidence principale),Meublé de tourisme classé,Meublé de tourisme non classé"</formula1>
      <formula2>0</formula2>
    </dataValidation>
    <dataValidation allowBlank="false" errorStyle="stop" operator="between" showDropDown="false" showErrorMessage="false" showInputMessage="false" sqref="B12" type="list">
      <formula1>"2025,2026"</formula1>
      <formula2>0</formula2>
    </dataValidation>
    <dataValidation allowBlank="false" errorStyle="stop" operator="between" showDropDown="false" showErrorMessage="false" showInputMessage="false" sqref="B14" type="list">
      <formula1>"0,0.11,0.3,0.41,0.45"</formula1>
      <formula2>0</formula2>
    </dataValidation>
    <dataValidation allowBlank="false" errorStyle="stop" operator="between" showDropDown="false" showErrorMessage="false" showInputMessage="false" sqref="B4" type="list">
      <formula1>"Forfait 7,5%,Montant réel"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2026-07-13T09:55:24Z</dcterms:created>
  <dc:creator>openpyxl</dc:creator>
  <dc:description/>
  <dc:language>en-US</dc:language>
  <cp:lastModifiedBy/>
  <dcterms:modified xsi:type="dcterms:W3CDTF">2026-07-13T10:05:43Z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